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a\Desktop\"/>
    </mc:Choice>
  </mc:AlternateContent>
  <bookViews>
    <workbookView xWindow="480" yWindow="195" windowWidth="14880" windowHeight="6990" activeTab="3"/>
  </bookViews>
  <sheets>
    <sheet name="ubytovani" sheetId="1" r:id="rId1"/>
    <sheet name="doprava, vstupy" sheetId="2" r:id="rId2"/>
    <sheet name="ostatni" sheetId="3" r:id="rId3"/>
    <sheet name="vybery" sheetId="4" r:id="rId4"/>
  </sheets>
  <calcPr calcId="171027"/>
</workbook>
</file>

<file path=xl/calcChain.xml><?xml version="1.0" encoding="utf-8"?>
<calcChain xmlns="http://schemas.openxmlformats.org/spreadsheetml/2006/main">
  <c r="C12" i="4" l="1"/>
  <c r="E35" i="2"/>
  <c r="E45" i="2"/>
  <c r="D45" i="2"/>
  <c r="D12" i="4"/>
  <c r="D3" i="4"/>
  <c r="D4" i="4"/>
  <c r="D5" i="4"/>
  <c r="D6" i="4"/>
  <c r="D7" i="4"/>
  <c r="D8" i="4"/>
  <c r="D9" i="4"/>
  <c r="D2" i="4"/>
  <c r="G30" i="2" l="1"/>
  <c r="G27" i="2" l="1"/>
  <c r="G18" i="2"/>
  <c r="E6" i="2" l="1"/>
  <c r="E10" i="2"/>
  <c r="E9" i="2"/>
  <c r="E8" i="2"/>
  <c r="D39" i="2"/>
  <c r="E39" i="2" s="1"/>
  <c r="D38" i="2"/>
  <c r="E38" i="2" s="1"/>
  <c r="D42" i="2"/>
  <c r="E42" i="2" s="1"/>
  <c r="H5" i="1"/>
  <c r="I5" i="1" s="1"/>
  <c r="D31" i="2"/>
  <c r="E31" i="2" s="1"/>
  <c r="H4" i="1"/>
  <c r="I4" i="1" s="1"/>
  <c r="D40" i="2"/>
  <c r="E40" i="2" s="1"/>
  <c r="C7" i="3"/>
  <c r="D7" i="3" s="1"/>
  <c r="C9" i="3"/>
  <c r="D9" i="3" s="1"/>
  <c r="D11" i="2"/>
  <c r="E11" i="2" s="1"/>
  <c r="D41" i="2"/>
  <c r="E41" i="2" s="1"/>
  <c r="D12" i="2"/>
  <c r="E12" i="2" s="1"/>
  <c r="C10" i="3"/>
  <c r="D10" i="3" s="1"/>
  <c r="C8" i="3"/>
  <c r="D8" i="3" s="1"/>
  <c r="C13" i="3"/>
  <c r="D13" i="3"/>
  <c r="D13" i="2"/>
  <c r="E13" i="2" s="1"/>
  <c r="D15" i="2"/>
  <c r="E15" i="2" s="1"/>
  <c r="C12" i="3"/>
  <c r="D12" i="3" s="1"/>
  <c r="C11" i="3"/>
  <c r="D11" i="3" s="1"/>
  <c r="D14" i="2"/>
  <c r="E14" i="2" s="1"/>
  <c r="D43" i="2"/>
  <c r="E43" i="2" s="1"/>
  <c r="D17" i="2"/>
  <c r="E17" i="2" s="1"/>
  <c r="C14" i="3"/>
  <c r="D14" i="3" s="1"/>
  <c r="D16" i="2"/>
  <c r="E16" i="2" s="1"/>
  <c r="D21" i="2"/>
  <c r="E21" i="2" s="1"/>
  <c r="C19" i="3"/>
  <c r="D19" i="3" s="1"/>
  <c r="D22" i="2"/>
  <c r="E22" i="2" s="1"/>
  <c r="E25" i="2"/>
  <c r="D24" i="2"/>
  <c r="E24" i="2" s="1"/>
  <c r="D20" i="2"/>
  <c r="E20" i="2" s="1"/>
  <c r="H9" i="1"/>
  <c r="I9" i="1" s="1"/>
  <c r="C42" i="3"/>
  <c r="D42" i="3" s="1"/>
  <c r="E33" i="2"/>
  <c r="C41" i="3"/>
  <c r="D41" i="3" s="1"/>
  <c r="C40" i="3"/>
  <c r="D40" i="3" s="1"/>
  <c r="C39" i="3"/>
  <c r="D39" i="3" s="1"/>
  <c r="D32" i="2"/>
  <c r="E32" i="2" s="1"/>
  <c r="C36" i="3"/>
  <c r="D36" i="3" s="1"/>
  <c r="E29" i="2"/>
  <c r="E30" i="2"/>
  <c r="C35" i="3"/>
  <c r="D35" i="3" s="1"/>
  <c r="C33" i="3"/>
  <c r="D33" i="3" s="1"/>
  <c r="D28" i="2"/>
  <c r="E28" i="2" s="1"/>
  <c r="C31" i="3"/>
  <c r="D31" i="3" s="1"/>
  <c r="E27" i="2"/>
  <c r="E26" i="2"/>
  <c r="I12" i="1"/>
  <c r="I13" i="1"/>
  <c r="I14" i="1"/>
  <c r="I15" i="1"/>
  <c r="I16" i="1"/>
  <c r="D23" i="2"/>
  <c r="E23" i="2" s="1"/>
  <c r="I11" i="1"/>
  <c r="M2" i="1"/>
  <c r="H3" i="1" s="1"/>
  <c r="D21" i="3"/>
  <c r="D22" i="3"/>
  <c r="D24" i="3"/>
  <c r="I10" i="1"/>
  <c r="I8" i="1"/>
  <c r="I7" i="1"/>
  <c r="I6" i="1"/>
  <c r="E19" i="2"/>
  <c r="E18" i="2"/>
  <c r="D3" i="3"/>
  <c r="D4" i="3"/>
  <c r="D5" i="3"/>
  <c r="D6" i="3"/>
  <c r="D15" i="3"/>
  <c r="D16" i="3"/>
  <c r="D17" i="3"/>
  <c r="D18" i="3"/>
  <c r="D20" i="3"/>
  <c r="D23" i="3"/>
  <c r="D25" i="3"/>
  <c r="D26" i="3"/>
  <c r="D27" i="3"/>
  <c r="D28" i="3"/>
  <c r="D29" i="3"/>
  <c r="D30" i="3"/>
  <c r="D32" i="3"/>
  <c r="D34" i="3"/>
  <c r="D37" i="3"/>
  <c r="D38" i="3"/>
  <c r="D43" i="3"/>
  <c r="D2" i="3"/>
  <c r="I2" i="1"/>
  <c r="E7" i="2"/>
  <c r="E5" i="2"/>
  <c r="E4" i="2"/>
  <c r="E3" i="2"/>
  <c r="E2" i="2"/>
  <c r="I3" i="1" l="1"/>
  <c r="I18" i="1" s="1"/>
  <c r="H18" i="1"/>
  <c r="D45" i="3"/>
  <c r="D35" i="2"/>
  <c r="C45" i="3"/>
</calcChain>
</file>

<file path=xl/sharedStrings.xml><?xml version="1.0" encoding="utf-8"?>
<sst xmlns="http://schemas.openxmlformats.org/spreadsheetml/2006/main" count="240" uniqueCount="144">
  <si>
    <t>DATUM</t>
  </si>
  <si>
    <t>9.-10. listopadu 2013</t>
  </si>
  <si>
    <t>HOTEL</t>
  </si>
  <si>
    <t>Confortel Barcelona</t>
  </si>
  <si>
    <t>CZK</t>
  </si>
  <si>
    <t>EUR</t>
  </si>
  <si>
    <t>USD</t>
  </si>
  <si>
    <t>CHP</t>
  </si>
  <si>
    <t>11.-12. listopadu 2013</t>
  </si>
  <si>
    <t>La Chakana</t>
  </si>
  <si>
    <t>12.-13.listopadu 2013</t>
  </si>
  <si>
    <t>Velero Hotel Boutique</t>
  </si>
  <si>
    <t>13.-16. listopadu 2013</t>
  </si>
  <si>
    <t>Hostal Solor</t>
  </si>
  <si>
    <t>16.-17. listopadu 2013</t>
  </si>
  <si>
    <t>Holiday Inn Santiago - Airport Terminal</t>
  </si>
  <si>
    <t>17.-18. listopadu 2013</t>
  </si>
  <si>
    <t>Hostal Kloketen</t>
  </si>
  <si>
    <t>23.-25. listopadu 2013</t>
  </si>
  <si>
    <t>Hotel Hallef</t>
  </si>
  <si>
    <t>25.-27. listopadu 2013</t>
  </si>
  <si>
    <t>Apart Hotel Quillango</t>
  </si>
  <si>
    <t>27.-28. listopadu 2013</t>
  </si>
  <si>
    <t>28.-30. listopadu 2013</t>
  </si>
  <si>
    <t>Hotel Tea Nui</t>
  </si>
  <si>
    <t>30. listopadu - 2. prosince 2013</t>
  </si>
  <si>
    <t>Downtown Santiago Suites</t>
  </si>
  <si>
    <t>CSA</t>
  </si>
  <si>
    <t>10. rijna 2013</t>
  </si>
  <si>
    <t>13. rijna 2013</t>
  </si>
  <si>
    <t>ESTA</t>
  </si>
  <si>
    <t>28. rijna 2013</t>
  </si>
  <si>
    <t>LAN</t>
  </si>
  <si>
    <t>Santiago&lt;-&gt;Velikonocni ostrov</t>
  </si>
  <si>
    <t>Praha-&gt;Barcelona, Pariz-&gt;Praha</t>
  </si>
  <si>
    <t>29. rijna 2013</t>
  </si>
  <si>
    <t>Sky Airlines</t>
  </si>
  <si>
    <t>30. rijna 2013</t>
  </si>
  <si>
    <t>RentalCars</t>
  </si>
  <si>
    <t>9. listopadu 2013</t>
  </si>
  <si>
    <t>Barcelona - Escamerla</t>
  </si>
  <si>
    <t>Barcelona - Aerobus</t>
  </si>
  <si>
    <t>Praha - Sparkys</t>
  </si>
  <si>
    <t>10. listopadu 2013</t>
  </si>
  <si>
    <t>Miami - TGI Fridazs</t>
  </si>
  <si>
    <t>Barcelona - Metro</t>
  </si>
  <si>
    <t>11. listopadu 2013</t>
  </si>
  <si>
    <t>Santiago - Britt Shop Pudahuel</t>
  </si>
  <si>
    <t>Calama - C. Verde M. Grau</t>
  </si>
  <si>
    <t>17. listopadu 2013</t>
  </si>
  <si>
    <t>P. Arenas</t>
  </si>
  <si>
    <t>Buses Fernandez</t>
  </si>
  <si>
    <t>P. Arenas - Brocolino</t>
  </si>
  <si>
    <t>18. listopadu 2013</t>
  </si>
  <si>
    <t>Arica</t>
  </si>
  <si>
    <t>Europcar</t>
  </si>
  <si>
    <t>P. Natales - Centro Frutero Superfr</t>
  </si>
  <si>
    <t>P. Natales - Unimarc</t>
  </si>
  <si>
    <t>18.-19. listopadu 2013</t>
  </si>
  <si>
    <t>20. listopadu 2013</t>
  </si>
  <si>
    <t>Vertice Torres Del Paine</t>
  </si>
  <si>
    <t>19.-20. listopadu 2013</t>
  </si>
  <si>
    <t>20.-21. listopadu 2013</t>
  </si>
  <si>
    <t>21.-23. listopadu 2013</t>
  </si>
  <si>
    <t>21. listopadu 2013</t>
  </si>
  <si>
    <t>Torres Del Paine - Vertice</t>
  </si>
  <si>
    <t>Torres Del Paine - Refugion Cuernos</t>
  </si>
  <si>
    <t>Torres Del Paine - Refugion Cuernos (coca cola)</t>
  </si>
  <si>
    <t>Torres Del Paine - Las Torres</t>
  </si>
  <si>
    <t>100 CHP</t>
  </si>
  <si>
    <t>Torres Del Paine - Vertice (obcerstveni)</t>
  </si>
  <si>
    <t>Torres Del Paine - Las Torres (obcerstveni)</t>
  </si>
  <si>
    <t>Lago Pegua</t>
  </si>
  <si>
    <t>23. listopadu 2013</t>
  </si>
  <si>
    <t>P. Natales</t>
  </si>
  <si>
    <t>24. listopadu 2013</t>
  </si>
  <si>
    <t>Puerto Natales - supermarket</t>
  </si>
  <si>
    <t>Puerto Natales - lekarna</t>
  </si>
  <si>
    <t>vylet na ledovce</t>
  </si>
  <si>
    <t>25. listopadu 2013</t>
  </si>
  <si>
    <t>Puerto Natales - coca cola</t>
  </si>
  <si>
    <t xml:space="preserve">Punta Arenas - Brocolino </t>
  </si>
  <si>
    <t>26. listopadu 2013</t>
  </si>
  <si>
    <t>Punta Arenas - La Marmita</t>
  </si>
  <si>
    <t>Isla Magdalena</t>
  </si>
  <si>
    <t>27. listopadu 2013</t>
  </si>
  <si>
    <t>Punta Arenas - letiste</t>
  </si>
  <si>
    <t>28. listopadu 2013</t>
  </si>
  <si>
    <t>Santiago Dunkin Donuts</t>
  </si>
  <si>
    <t>Santiago - Holidaz Inn Restaurace</t>
  </si>
  <si>
    <t xml:space="preserve">Vel. Ostrov - </t>
  </si>
  <si>
    <t>30. listopadu 2013</t>
  </si>
  <si>
    <t>Santiago</t>
  </si>
  <si>
    <t>taxi</t>
  </si>
  <si>
    <t>Vel. Ostrov</t>
  </si>
  <si>
    <t>pujceni auta</t>
  </si>
  <si>
    <t>Santiago - supermarket</t>
  </si>
  <si>
    <t>1. prosince 2013</t>
  </si>
  <si>
    <t>lanovka</t>
  </si>
  <si>
    <t>Santiago - wine spa</t>
  </si>
  <si>
    <t>Santiago - restaurace Donde Augusto</t>
  </si>
  <si>
    <t xml:space="preserve">Santago </t>
  </si>
  <si>
    <t>2. prosince 2013</t>
  </si>
  <si>
    <t>vinarstvi Macul</t>
  </si>
  <si>
    <t>vinarstvi</t>
  </si>
  <si>
    <t>3. prosince 2013</t>
  </si>
  <si>
    <t>Miami - sushi</t>
  </si>
  <si>
    <t xml:space="preserve">bus Via Paine </t>
  </si>
  <si>
    <t>Torres Del Paine</t>
  </si>
  <si>
    <t>bus Via Paine</t>
  </si>
  <si>
    <t>bus Las Torres</t>
  </si>
  <si>
    <t>P. Natales - La Maddera (obchod)</t>
  </si>
  <si>
    <t>Torres Del Paine - bagetka</t>
  </si>
  <si>
    <t>vstupne do NP</t>
  </si>
  <si>
    <t>Santiago - letiste</t>
  </si>
  <si>
    <t>tucnaci - vstup</t>
  </si>
  <si>
    <t>16. listopadu 2013</t>
  </si>
  <si>
    <t>Antofagasta</t>
  </si>
  <si>
    <t>benzin</t>
  </si>
  <si>
    <t>dalnicni poplatek</t>
  </si>
  <si>
    <t>Calama</t>
  </si>
  <si>
    <t>El Tatio</t>
  </si>
  <si>
    <t>San Pedro - minimarket</t>
  </si>
  <si>
    <t>15. listopadu 2013</t>
  </si>
  <si>
    <t>San Pedro</t>
  </si>
  <si>
    <t>Valle de la Luna</t>
  </si>
  <si>
    <t>14. listopadu 2013</t>
  </si>
  <si>
    <t>San Pedro - vecere</t>
  </si>
  <si>
    <t>Laguna Chaxa</t>
  </si>
  <si>
    <t>13. listopadu 2013</t>
  </si>
  <si>
    <t>geoglyfy</t>
  </si>
  <si>
    <t>Pico - ovocne stavy</t>
  </si>
  <si>
    <t>San Pedro - ovocne stavy</t>
  </si>
  <si>
    <t>Huara</t>
  </si>
  <si>
    <t>4. prosince 2013</t>
  </si>
  <si>
    <t>19. listopadu 2013</t>
  </si>
  <si>
    <t>AA</t>
  </si>
  <si>
    <t>katamaran</t>
  </si>
  <si>
    <t>letenky do/z Chile (Barcelona - Santiago - Pariz)</t>
  </si>
  <si>
    <t xml:space="preserve">vnitrostátní letenky Chile (Santiago - Arica, Anglofagasta - Santiago, Santiago - Punta Arenas, Punta Arenas - Santiago) </t>
  </si>
  <si>
    <t>celkem (CZK)</t>
  </si>
  <si>
    <t>na osobu (CZK)</t>
  </si>
  <si>
    <t xml:space="preserve"> celkem (CZK)</t>
  </si>
  <si>
    <t>z částky hrazeno ubytovani v Torres Del Paine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</si>
</sst>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F9" sqref="F9:F11"/>
    </sheetView>
  </sheetViews>
  <sheetFormatPr defaultRowHeight="15" x14ac:dyDescent="0.25"/>
  <cols>
    <col min="1" max="1" width="30.42578125" customWidth="1"/>
    <col min="2" max="2" width="36.85546875" customWidth="1"/>
    <col min="3" max="3" width="18.140625" customWidth="1"/>
    <col min="4" max="4" width="18.5703125" customWidth="1"/>
    <col min="8" max="8" width="12.5703125" bestFit="1" customWidth="1"/>
    <col min="9" max="9" width="14.28515625" bestFit="1" customWidth="1"/>
  </cols>
  <sheetData>
    <row r="1" spans="1:13" x14ac:dyDescent="0.25">
      <c r="A1" t="s">
        <v>0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H1" t="s">
        <v>140</v>
      </c>
      <c r="I1" t="s">
        <v>141</v>
      </c>
    </row>
    <row r="2" spans="1:13" x14ac:dyDescent="0.25">
      <c r="A2" t="s">
        <v>1</v>
      </c>
      <c r="B2" t="s">
        <v>3</v>
      </c>
      <c r="C2">
        <v>2126</v>
      </c>
      <c r="D2">
        <v>77.42</v>
      </c>
      <c r="H2" s="4">
        <v>2197.7600000000002</v>
      </c>
      <c r="I2">
        <f t="shared" ref="I2:I8" si="0">H2/2</f>
        <v>1098.8800000000001</v>
      </c>
      <c r="L2" t="s">
        <v>69</v>
      </c>
      <c r="M2">
        <f>H10/120</f>
        <v>3.9665000000000004</v>
      </c>
    </row>
    <row r="3" spans="1:13" x14ac:dyDescent="0.25">
      <c r="A3" t="s">
        <v>8</v>
      </c>
      <c r="B3" t="s">
        <v>9</v>
      </c>
      <c r="C3">
        <v>1479</v>
      </c>
      <c r="E3">
        <v>73</v>
      </c>
      <c r="F3">
        <v>32000</v>
      </c>
      <c r="H3">
        <f>320*M2</f>
        <v>1269.2800000000002</v>
      </c>
      <c r="I3">
        <f t="shared" si="0"/>
        <v>634.6400000000001</v>
      </c>
    </row>
    <row r="4" spans="1:13" x14ac:dyDescent="0.25">
      <c r="A4" t="s">
        <v>10</v>
      </c>
      <c r="B4" t="s">
        <v>11</v>
      </c>
      <c r="C4">
        <v>790</v>
      </c>
      <c r="E4">
        <v>39</v>
      </c>
      <c r="F4">
        <v>20300</v>
      </c>
      <c r="H4">
        <f>203*M2</f>
        <v>805.19950000000006</v>
      </c>
      <c r="I4">
        <f t="shared" si="0"/>
        <v>402.59975000000003</v>
      </c>
    </row>
    <row r="5" spans="1:13" x14ac:dyDescent="0.25">
      <c r="A5" t="s">
        <v>12</v>
      </c>
      <c r="B5" t="s">
        <v>13</v>
      </c>
      <c r="C5">
        <v>5166</v>
      </c>
      <c r="E5">
        <v>255</v>
      </c>
      <c r="H5">
        <f>1300*M2</f>
        <v>5156.4500000000007</v>
      </c>
      <c r="I5">
        <f t="shared" si="0"/>
        <v>2578.2250000000004</v>
      </c>
    </row>
    <row r="6" spans="1:13" x14ac:dyDescent="0.25">
      <c r="A6" t="s">
        <v>14</v>
      </c>
      <c r="B6" t="s">
        <v>15</v>
      </c>
      <c r="C6">
        <v>3323</v>
      </c>
      <c r="E6">
        <v>164</v>
      </c>
      <c r="H6" s="4">
        <v>3360.52</v>
      </c>
      <c r="I6">
        <f t="shared" si="0"/>
        <v>1680.26</v>
      </c>
    </row>
    <row r="7" spans="1:13" x14ac:dyDescent="0.25">
      <c r="A7" t="s">
        <v>16</v>
      </c>
      <c r="B7" t="s">
        <v>17</v>
      </c>
      <c r="C7">
        <v>1418</v>
      </c>
      <c r="E7">
        <v>70</v>
      </c>
      <c r="H7" s="4">
        <v>1442.36</v>
      </c>
      <c r="I7">
        <f t="shared" si="0"/>
        <v>721.18</v>
      </c>
    </row>
    <row r="8" spans="1:13" x14ac:dyDescent="0.25">
      <c r="A8" t="s">
        <v>58</v>
      </c>
      <c r="B8" t="s">
        <v>60</v>
      </c>
      <c r="H8" s="4">
        <v>382.47</v>
      </c>
      <c r="I8">
        <f t="shared" si="0"/>
        <v>191.23500000000001</v>
      </c>
    </row>
    <row r="9" spans="1:13" x14ac:dyDescent="0.25">
      <c r="A9" t="s">
        <v>61</v>
      </c>
      <c r="B9" t="s">
        <v>66</v>
      </c>
      <c r="F9">
        <v>50000</v>
      </c>
      <c r="H9">
        <f>500*M2</f>
        <v>1983.2500000000002</v>
      </c>
      <c r="I9">
        <f t="shared" ref="I9:I16" si="1">H9/2</f>
        <v>991.62500000000011</v>
      </c>
    </row>
    <row r="10" spans="1:13" x14ac:dyDescent="0.25">
      <c r="A10" t="s">
        <v>62</v>
      </c>
      <c r="B10" t="s">
        <v>68</v>
      </c>
      <c r="F10">
        <v>12000</v>
      </c>
      <c r="H10" s="4">
        <v>475.98</v>
      </c>
      <c r="I10">
        <f t="shared" si="1"/>
        <v>237.99</v>
      </c>
    </row>
    <row r="11" spans="1:13" x14ac:dyDescent="0.25">
      <c r="A11" t="s">
        <v>63</v>
      </c>
      <c r="B11" t="s">
        <v>65</v>
      </c>
      <c r="F11">
        <v>19200</v>
      </c>
      <c r="H11" s="4">
        <v>759.78</v>
      </c>
      <c r="I11">
        <f t="shared" si="1"/>
        <v>379.89</v>
      </c>
    </row>
    <row r="12" spans="1:13" x14ac:dyDescent="0.25">
      <c r="A12" t="s">
        <v>18</v>
      </c>
      <c r="B12" t="s">
        <v>19</v>
      </c>
      <c r="C12">
        <v>4052</v>
      </c>
      <c r="E12">
        <v>200</v>
      </c>
      <c r="H12" s="4">
        <v>4125.03</v>
      </c>
      <c r="I12">
        <f t="shared" si="1"/>
        <v>2062.5149999999999</v>
      </c>
    </row>
    <row r="13" spans="1:13" x14ac:dyDescent="0.25">
      <c r="A13" t="s">
        <v>20</v>
      </c>
      <c r="B13" t="s">
        <v>21</v>
      </c>
      <c r="C13">
        <v>4052</v>
      </c>
      <c r="E13">
        <v>200</v>
      </c>
      <c r="H13" s="4">
        <v>4757.2299999999996</v>
      </c>
      <c r="I13">
        <f t="shared" si="1"/>
        <v>2378.6149999999998</v>
      </c>
    </row>
    <row r="14" spans="1:13" x14ac:dyDescent="0.25">
      <c r="A14" t="s">
        <v>22</v>
      </c>
      <c r="B14" t="s">
        <v>15</v>
      </c>
      <c r="C14">
        <v>3464</v>
      </c>
      <c r="E14">
        <v>171</v>
      </c>
      <c r="H14" s="4">
        <v>3514.92</v>
      </c>
      <c r="I14">
        <f t="shared" si="1"/>
        <v>1757.46</v>
      </c>
    </row>
    <row r="15" spans="1:13" x14ac:dyDescent="0.25">
      <c r="A15" t="s">
        <v>23</v>
      </c>
      <c r="B15" t="s">
        <v>24</v>
      </c>
      <c r="C15">
        <v>4194</v>
      </c>
      <c r="E15">
        <v>207</v>
      </c>
      <c r="H15" s="4">
        <v>4262.43</v>
      </c>
      <c r="I15">
        <f t="shared" si="1"/>
        <v>2131.2150000000001</v>
      </c>
    </row>
    <row r="16" spans="1:13" x14ac:dyDescent="0.25">
      <c r="A16" t="s">
        <v>25</v>
      </c>
      <c r="B16" t="s">
        <v>26</v>
      </c>
      <c r="C16">
        <v>2674</v>
      </c>
      <c r="E16">
        <v>132</v>
      </c>
      <c r="H16" s="4">
        <v>3338</v>
      </c>
      <c r="I16">
        <f t="shared" si="1"/>
        <v>1669</v>
      </c>
    </row>
    <row r="18" spans="8:9" x14ac:dyDescent="0.25">
      <c r="H18">
        <f>SUM(H2:H17)</f>
        <v>37830.659500000002</v>
      </c>
      <c r="I18">
        <f>SUM(I2:I17)</f>
        <v>18915.329750000001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E33" sqref="E2:E33"/>
    </sheetView>
  </sheetViews>
  <sheetFormatPr defaultRowHeight="15" x14ac:dyDescent="0.25"/>
  <cols>
    <col min="1" max="1" width="20" customWidth="1"/>
    <col min="2" max="2" width="16.140625" customWidth="1"/>
    <col min="3" max="3" width="39.5703125" customWidth="1"/>
    <col min="4" max="4" width="12.5703125" bestFit="1" customWidth="1"/>
    <col min="5" max="5" width="14.28515625" bestFit="1" customWidth="1"/>
  </cols>
  <sheetData>
    <row r="1" spans="1:9" x14ac:dyDescent="0.25">
      <c r="D1" t="s">
        <v>140</v>
      </c>
      <c r="E1" t="s">
        <v>141</v>
      </c>
    </row>
    <row r="2" spans="1:9" x14ac:dyDescent="0.25">
      <c r="A2" t="s">
        <v>28</v>
      </c>
      <c r="B2" t="s">
        <v>27</v>
      </c>
      <c r="C2" t="s">
        <v>34</v>
      </c>
      <c r="D2" s="4">
        <v>7684</v>
      </c>
      <c r="E2">
        <f t="shared" ref="E2:E8" si="0">D2/2</f>
        <v>3842</v>
      </c>
      <c r="H2" t="s">
        <v>69</v>
      </c>
      <c r="I2">
        <v>3.9665000000000004</v>
      </c>
    </row>
    <row r="3" spans="1:9" x14ac:dyDescent="0.25">
      <c r="A3" t="s">
        <v>29</v>
      </c>
      <c r="B3" t="s">
        <v>30</v>
      </c>
      <c r="D3" s="4">
        <v>538.14</v>
      </c>
      <c r="E3">
        <f t="shared" si="0"/>
        <v>269.07</v>
      </c>
    </row>
    <row r="4" spans="1:9" x14ac:dyDescent="0.25">
      <c r="A4" t="s">
        <v>31</v>
      </c>
      <c r="B4" t="s">
        <v>32</v>
      </c>
      <c r="C4" t="s">
        <v>33</v>
      </c>
      <c r="D4" s="4">
        <v>30206.49</v>
      </c>
      <c r="E4">
        <f t="shared" si="0"/>
        <v>15103.245000000001</v>
      </c>
    </row>
    <row r="5" spans="1:9" x14ac:dyDescent="0.25">
      <c r="A5" t="s">
        <v>35</v>
      </c>
      <c r="B5" t="s">
        <v>36</v>
      </c>
      <c r="C5" t="s">
        <v>139</v>
      </c>
      <c r="D5" s="4">
        <v>33057.58</v>
      </c>
      <c r="E5">
        <f t="shared" si="0"/>
        <v>16528.79</v>
      </c>
    </row>
    <row r="6" spans="1:9" x14ac:dyDescent="0.25">
      <c r="B6" t="s">
        <v>136</v>
      </c>
      <c r="C6" t="s">
        <v>138</v>
      </c>
      <c r="D6" s="4">
        <v>30228</v>
      </c>
      <c r="E6">
        <f t="shared" si="0"/>
        <v>15114</v>
      </c>
    </row>
    <row r="7" spans="1:9" x14ac:dyDescent="0.25">
      <c r="A7" t="s">
        <v>37</v>
      </c>
      <c r="B7" t="s">
        <v>38</v>
      </c>
      <c r="D7" s="4">
        <v>11790.65</v>
      </c>
      <c r="E7">
        <f t="shared" si="0"/>
        <v>5895.3249999999998</v>
      </c>
    </row>
    <row r="8" spans="1:9" x14ac:dyDescent="0.25">
      <c r="A8" t="s">
        <v>39</v>
      </c>
      <c r="B8" t="s">
        <v>41</v>
      </c>
      <c r="D8" s="4">
        <v>324.74</v>
      </c>
      <c r="E8" s="4">
        <f t="shared" si="0"/>
        <v>162.37</v>
      </c>
    </row>
    <row r="9" spans="1:9" x14ac:dyDescent="0.25">
      <c r="A9" t="s">
        <v>43</v>
      </c>
      <c r="B9" t="s">
        <v>41</v>
      </c>
      <c r="D9" s="4">
        <v>324.74</v>
      </c>
      <c r="E9" s="4">
        <f t="shared" ref="E9:E10" si="1">D9/2</f>
        <v>162.37</v>
      </c>
    </row>
    <row r="10" spans="1:9" x14ac:dyDescent="0.25">
      <c r="A10" t="s">
        <v>43</v>
      </c>
      <c r="B10" t="s">
        <v>45</v>
      </c>
      <c r="D10" s="4">
        <v>110.08</v>
      </c>
      <c r="E10" s="4">
        <f t="shared" si="1"/>
        <v>55.04</v>
      </c>
    </row>
    <row r="11" spans="1:9" x14ac:dyDescent="0.25">
      <c r="A11" t="s">
        <v>129</v>
      </c>
      <c r="C11" t="s">
        <v>130</v>
      </c>
      <c r="D11">
        <f>40*I2</f>
        <v>158.66000000000003</v>
      </c>
      <c r="E11">
        <f t="shared" ref="E11:E21" si="2">D11/2</f>
        <v>79.330000000000013</v>
      </c>
      <c r="G11">
        <v>4000</v>
      </c>
    </row>
    <row r="12" spans="1:9" x14ac:dyDescent="0.25">
      <c r="A12" t="s">
        <v>126</v>
      </c>
      <c r="B12" t="s">
        <v>124</v>
      </c>
      <c r="C12" t="s">
        <v>128</v>
      </c>
      <c r="D12">
        <f>50*I2</f>
        <v>198.32500000000002</v>
      </c>
      <c r="E12">
        <f t="shared" si="2"/>
        <v>99.162500000000009</v>
      </c>
      <c r="G12">
        <v>5000</v>
      </c>
    </row>
    <row r="13" spans="1:9" x14ac:dyDescent="0.25">
      <c r="A13" t="s">
        <v>123</v>
      </c>
      <c r="B13" t="s">
        <v>124</v>
      </c>
      <c r="C13" t="s">
        <v>125</v>
      </c>
      <c r="D13">
        <f>40*I2</f>
        <v>158.66000000000003</v>
      </c>
      <c r="E13">
        <f t="shared" si="2"/>
        <v>79.330000000000013</v>
      </c>
      <c r="G13">
        <v>4000</v>
      </c>
    </row>
    <row r="14" spans="1:9" x14ac:dyDescent="0.25">
      <c r="A14" t="s">
        <v>123</v>
      </c>
      <c r="B14" t="s">
        <v>120</v>
      </c>
      <c r="C14" t="s">
        <v>121</v>
      </c>
      <c r="D14">
        <f>100*I2</f>
        <v>396.65000000000003</v>
      </c>
      <c r="E14">
        <f t="shared" si="2"/>
        <v>198.32500000000002</v>
      </c>
      <c r="G14">
        <v>10000</v>
      </c>
    </row>
    <row r="15" spans="1:9" x14ac:dyDescent="0.25">
      <c r="A15" t="s">
        <v>116</v>
      </c>
      <c r="B15" t="s">
        <v>117</v>
      </c>
      <c r="C15" t="s">
        <v>119</v>
      </c>
      <c r="D15">
        <f>14.5*I2</f>
        <v>57.514250000000004</v>
      </c>
      <c r="E15">
        <f t="shared" si="2"/>
        <v>28.757125000000002</v>
      </c>
      <c r="G15">
        <v>1450</v>
      </c>
    </row>
    <row r="16" spans="1:9" x14ac:dyDescent="0.25">
      <c r="A16" t="s">
        <v>49</v>
      </c>
      <c r="B16" t="s">
        <v>50</v>
      </c>
      <c r="C16" t="s">
        <v>115</v>
      </c>
      <c r="D16">
        <f>30*I2</f>
        <v>118.995</v>
      </c>
      <c r="E16">
        <f t="shared" si="2"/>
        <v>59.497500000000002</v>
      </c>
      <c r="G16">
        <v>3000</v>
      </c>
    </row>
    <row r="17" spans="1:7" x14ac:dyDescent="0.25">
      <c r="A17" t="s">
        <v>49</v>
      </c>
      <c r="B17" t="s">
        <v>50</v>
      </c>
      <c r="C17" t="s">
        <v>115</v>
      </c>
      <c r="D17">
        <f>200*I2</f>
        <v>793.30000000000007</v>
      </c>
      <c r="E17">
        <f t="shared" si="2"/>
        <v>396.65000000000003</v>
      </c>
      <c r="G17">
        <v>20000</v>
      </c>
    </row>
    <row r="18" spans="1:7" x14ac:dyDescent="0.25">
      <c r="A18" t="s">
        <v>49</v>
      </c>
      <c r="B18" t="s">
        <v>50</v>
      </c>
      <c r="C18" t="s">
        <v>51</v>
      </c>
      <c r="D18" s="4">
        <v>396.18</v>
      </c>
      <c r="E18">
        <f t="shared" si="2"/>
        <v>198.09</v>
      </c>
      <c r="G18">
        <f>D18*100/I2</f>
        <v>9988.150762637084</v>
      </c>
    </row>
    <row r="19" spans="1:7" s="3" customFormat="1" x14ac:dyDescent="0.25">
      <c r="A19" s="1" t="s">
        <v>53</v>
      </c>
      <c r="B19" s="1" t="s">
        <v>54</v>
      </c>
      <c r="C19" s="1" t="s">
        <v>55</v>
      </c>
      <c r="D19" s="4">
        <v>7313.23</v>
      </c>
      <c r="E19" s="3">
        <f t="shared" si="2"/>
        <v>3656.6149999999998</v>
      </c>
    </row>
    <row r="20" spans="1:7" x14ac:dyDescent="0.25">
      <c r="A20" t="s">
        <v>53</v>
      </c>
      <c r="B20" t="s">
        <v>74</v>
      </c>
      <c r="C20" t="s">
        <v>107</v>
      </c>
      <c r="D20">
        <f>150*I2</f>
        <v>594.97500000000002</v>
      </c>
      <c r="E20" s="3">
        <f t="shared" si="2"/>
        <v>297.48750000000001</v>
      </c>
      <c r="G20">
        <v>15000</v>
      </c>
    </row>
    <row r="21" spans="1:7" x14ac:dyDescent="0.25">
      <c r="A21" t="s">
        <v>53</v>
      </c>
      <c r="B21" t="s">
        <v>108</v>
      </c>
      <c r="C21" t="s">
        <v>113</v>
      </c>
      <c r="D21">
        <f>360*I2</f>
        <v>1427.94</v>
      </c>
      <c r="E21" s="3">
        <f t="shared" si="2"/>
        <v>713.97</v>
      </c>
      <c r="G21">
        <v>36000</v>
      </c>
    </row>
    <row r="22" spans="1:7" x14ac:dyDescent="0.25">
      <c r="A22" t="s">
        <v>53</v>
      </c>
      <c r="B22" t="s">
        <v>72</v>
      </c>
      <c r="C22" t="s">
        <v>137</v>
      </c>
      <c r="D22">
        <f>475.98*2</f>
        <v>951.96</v>
      </c>
      <c r="E22">
        <f t="shared" ref="E22:E43" si="3">D22/2</f>
        <v>475.98</v>
      </c>
      <c r="G22">
        <v>24000</v>
      </c>
    </row>
    <row r="23" spans="1:7" x14ac:dyDescent="0.25">
      <c r="A23" t="s">
        <v>64</v>
      </c>
      <c r="B23" t="s">
        <v>72</v>
      </c>
      <c r="C23" t="s">
        <v>137</v>
      </c>
      <c r="D23">
        <f>475.98*2</f>
        <v>951.96</v>
      </c>
      <c r="E23">
        <f t="shared" si="3"/>
        <v>475.98</v>
      </c>
      <c r="G23">
        <v>24000</v>
      </c>
    </row>
    <row r="24" spans="1:7" x14ac:dyDescent="0.25">
      <c r="A24" t="s">
        <v>64</v>
      </c>
      <c r="B24" t="s">
        <v>108</v>
      </c>
      <c r="C24" t="s">
        <v>109</v>
      </c>
      <c r="D24">
        <f>50*I2</f>
        <v>198.32500000000002</v>
      </c>
      <c r="E24">
        <f t="shared" si="3"/>
        <v>99.162500000000009</v>
      </c>
      <c r="G24">
        <v>5000</v>
      </c>
    </row>
    <row r="25" spans="1:7" x14ac:dyDescent="0.25">
      <c r="A25" t="s">
        <v>64</v>
      </c>
      <c r="B25" t="s">
        <v>108</v>
      </c>
      <c r="C25" t="s">
        <v>110</v>
      </c>
      <c r="D25">
        <v>198.32499999999999</v>
      </c>
      <c r="E25">
        <f t="shared" si="3"/>
        <v>99.162499999999994</v>
      </c>
      <c r="G25">
        <v>5000</v>
      </c>
    </row>
    <row r="26" spans="1:7" x14ac:dyDescent="0.25">
      <c r="A26" t="s">
        <v>73</v>
      </c>
      <c r="B26" t="s">
        <v>74</v>
      </c>
      <c r="C26" t="s">
        <v>51</v>
      </c>
      <c r="D26" s="4">
        <v>395.89</v>
      </c>
      <c r="E26">
        <f t="shared" si="3"/>
        <v>197.94499999999999</v>
      </c>
    </row>
    <row r="27" spans="1:7" x14ac:dyDescent="0.25">
      <c r="A27" t="s">
        <v>75</v>
      </c>
      <c r="B27" t="s">
        <v>74</v>
      </c>
      <c r="C27" t="s">
        <v>78</v>
      </c>
      <c r="D27" s="4">
        <v>6174.6</v>
      </c>
      <c r="E27">
        <f t="shared" si="3"/>
        <v>3087.3</v>
      </c>
      <c r="G27">
        <f>D27*100/I2</f>
        <v>155668.72557670489</v>
      </c>
    </row>
    <row r="28" spans="1:7" x14ac:dyDescent="0.25">
      <c r="A28" t="s">
        <v>82</v>
      </c>
      <c r="B28" t="s">
        <v>50</v>
      </c>
      <c r="C28" t="s">
        <v>84</v>
      </c>
      <c r="D28">
        <f>SUM(G28/100*I2)</f>
        <v>2221.2400000000002</v>
      </c>
      <c r="E28">
        <f t="shared" si="3"/>
        <v>1110.6200000000001</v>
      </c>
      <c r="G28">
        <v>56000</v>
      </c>
    </row>
    <row r="29" spans="1:7" x14ac:dyDescent="0.25">
      <c r="A29" t="s">
        <v>91</v>
      </c>
      <c r="B29" t="s">
        <v>92</v>
      </c>
      <c r="C29" t="s">
        <v>93</v>
      </c>
      <c r="D29" s="4">
        <v>662.06</v>
      </c>
      <c r="E29">
        <f t="shared" si="3"/>
        <v>331.03</v>
      </c>
    </row>
    <row r="30" spans="1:7" x14ac:dyDescent="0.25">
      <c r="A30" t="s">
        <v>91</v>
      </c>
      <c r="B30" t="s">
        <v>94</v>
      </c>
      <c r="C30" t="s">
        <v>95</v>
      </c>
      <c r="D30" s="4">
        <v>1752.42</v>
      </c>
      <c r="E30">
        <f t="shared" si="3"/>
        <v>876.21</v>
      </c>
      <c r="G30">
        <f>D30/I2*100</f>
        <v>44180.511786209499</v>
      </c>
    </row>
    <row r="31" spans="1:7" x14ac:dyDescent="0.25">
      <c r="A31" t="s">
        <v>91</v>
      </c>
      <c r="B31" t="s">
        <v>94</v>
      </c>
      <c r="C31" t="s">
        <v>113</v>
      </c>
      <c r="D31">
        <f>600*I2</f>
        <v>2379.9</v>
      </c>
      <c r="E31">
        <f t="shared" si="3"/>
        <v>1189.95</v>
      </c>
      <c r="G31">
        <v>60000</v>
      </c>
    </row>
    <row r="32" spans="1:7" x14ac:dyDescent="0.25">
      <c r="A32" t="s">
        <v>97</v>
      </c>
      <c r="B32" t="s">
        <v>92</v>
      </c>
      <c r="C32" t="s">
        <v>98</v>
      </c>
      <c r="D32">
        <f>39*I2</f>
        <v>154.6935</v>
      </c>
      <c r="E32">
        <f t="shared" si="3"/>
        <v>77.34675</v>
      </c>
      <c r="G32">
        <v>3900</v>
      </c>
    </row>
    <row r="33" spans="1:7" x14ac:dyDescent="0.25">
      <c r="A33" t="s">
        <v>102</v>
      </c>
      <c r="B33" t="s">
        <v>92</v>
      </c>
      <c r="C33" t="s">
        <v>104</v>
      </c>
      <c r="D33" s="4">
        <v>697.8</v>
      </c>
      <c r="E33">
        <f t="shared" si="3"/>
        <v>348.9</v>
      </c>
    </row>
    <row r="35" spans="1:7" x14ac:dyDescent="0.25">
      <c r="D35">
        <f>SUM(D2:D33)</f>
        <v>142618.02274999997</v>
      </c>
      <c r="E35">
        <f>SUM(E2:E33)</f>
        <v>71309.011374999987</v>
      </c>
    </row>
    <row r="38" spans="1:7" x14ac:dyDescent="0.25">
      <c r="B38" t="s">
        <v>54</v>
      </c>
      <c r="D38">
        <f>241*I2</f>
        <v>955.92650000000003</v>
      </c>
      <c r="E38">
        <f t="shared" si="3"/>
        <v>477.96325000000002</v>
      </c>
      <c r="G38">
        <v>24100</v>
      </c>
    </row>
    <row r="39" spans="1:7" x14ac:dyDescent="0.25">
      <c r="B39" t="s">
        <v>133</v>
      </c>
      <c r="D39">
        <f>220*I2</f>
        <v>872.63000000000011</v>
      </c>
      <c r="E39">
        <f t="shared" si="3"/>
        <v>436.31500000000005</v>
      </c>
      <c r="G39">
        <v>22000</v>
      </c>
    </row>
    <row r="40" spans="1:7" x14ac:dyDescent="0.25">
      <c r="A40" t="s">
        <v>129</v>
      </c>
      <c r="B40" t="s">
        <v>120</v>
      </c>
      <c r="D40">
        <f>210*I2</f>
        <v>832.96500000000003</v>
      </c>
      <c r="E40">
        <f t="shared" si="3"/>
        <v>416.48250000000002</v>
      </c>
      <c r="G40">
        <v>22000</v>
      </c>
    </row>
    <row r="41" spans="1:7" x14ac:dyDescent="0.25">
      <c r="A41" t="s">
        <v>126</v>
      </c>
      <c r="B41" t="s">
        <v>124</v>
      </c>
      <c r="D41">
        <f>230*I2</f>
        <v>912.29500000000007</v>
      </c>
      <c r="E41">
        <f t="shared" si="3"/>
        <v>456.14750000000004</v>
      </c>
      <c r="G41">
        <v>23000</v>
      </c>
    </row>
    <row r="42" spans="1:7" x14ac:dyDescent="0.25">
      <c r="B42" t="s">
        <v>120</v>
      </c>
      <c r="D42">
        <f>100*I2</f>
        <v>396.65000000000003</v>
      </c>
      <c r="E42">
        <f t="shared" si="3"/>
        <v>198.32500000000002</v>
      </c>
      <c r="G42">
        <v>10000</v>
      </c>
    </row>
    <row r="43" spans="1:7" x14ac:dyDescent="0.25">
      <c r="A43" t="s">
        <v>116</v>
      </c>
      <c r="B43" t="s">
        <v>117</v>
      </c>
      <c r="C43" t="s">
        <v>118</v>
      </c>
      <c r="D43">
        <f>260*I2</f>
        <v>1031.2900000000002</v>
      </c>
      <c r="E43">
        <f t="shared" si="3"/>
        <v>515.6450000000001</v>
      </c>
      <c r="G43">
        <v>26000</v>
      </c>
    </row>
    <row r="45" spans="1:7" x14ac:dyDescent="0.25">
      <c r="D45">
        <f>SUM(D38:D43)</f>
        <v>5001.7565000000004</v>
      </c>
      <c r="E45">
        <f>SUM(E38:E43)</f>
        <v>2500.8782500000002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2" sqref="C2"/>
    </sheetView>
  </sheetViews>
  <sheetFormatPr defaultRowHeight="15" x14ac:dyDescent="0.25"/>
  <cols>
    <col min="1" max="1" width="18.7109375" customWidth="1"/>
    <col min="2" max="2" width="54.7109375" customWidth="1"/>
    <col min="3" max="3" width="12.5703125" bestFit="1" customWidth="1"/>
    <col min="4" max="4" width="14.28515625" bestFit="1" customWidth="1"/>
  </cols>
  <sheetData>
    <row r="1" spans="1:9" x14ac:dyDescent="0.25">
      <c r="C1" t="s">
        <v>140</v>
      </c>
      <c r="D1" t="s">
        <v>141</v>
      </c>
    </row>
    <row r="2" spans="1:9" x14ac:dyDescent="0.25">
      <c r="A2" t="s">
        <v>39</v>
      </c>
      <c r="B2" t="s">
        <v>40</v>
      </c>
      <c r="C2" s="4">
        <v>2889.62</v>
      </c>
      <c r="D2">
        <f>C2/2</f>
        <v>1444.81</v>
      </c>
    </row>
    <row r="3" spans="1:9" x14ac:dyDescent="0.25">
      <c r="A3" t="s">
        <v>39</v>
      </c>
      <c r="B3" t="s">
        <v>42</v>
      </c>
      <c r="C3">
        <v>659</v>
      </c>
      <c r="D3">
        <f t="shared" ref="D3:D43" si="0">C3/2</f>
        <v>329.5</v>
      </c>
      <c r="H3" t="s">
        <v>69</v>
      </c>
      <c r="I3">
        <v>3.9665000000000004</v>
      </c>
    </row>
    <row r="4" spans="1:9" x14ac:dyDescent="0.25">
      <c r="A4" t="s">
        <v>43</v>
      </c>
      <c r="B4" t="s">
        <v>44</v>
      </c>
      <c r="C4" s="4">
        <v>1136.58</v>
      </c>
      <c r="D4">
        <f t="shared" si="0"/>
        <v>568.29</v>
      </c>
    </row>
    <row r="5" spans="1:9" x14ac:dyDescent="0.25">
      <c r="A5" t="s">
        <v>46</v>
      </c>
      <c r="B5" t="s">
        <v>47</v>
      </c>
      <c r="C5" s="4">
        <v>789</v>
      </c>
      <c r="D5">
        <f t="shared" si="0"/>
        <v>394.5</v>
      </c>
    </row>
    <row r="6" spans="1:9" x14ac:dyDescent="0.25">
      <c r="A6" t="s">
        <v>129</v>
      </c>
      <c r="B6" t="s">
        <v>48</v>
      </c>
      <c r="C6" s="4">
        <v>633.21</v>
      </c>
      <c r="D6">
        <f t="shared" si="0"/>
        <v>316.60500000000002</v>
      </c>
    </row>
    <row r="7" spans="1:9" x14ac:dyDescent="0.25">
      <c r="A7" t="s">
        <v>129</v>
      </c>
      <c r="B7" t="s">
        <v>131</v>
      </c>
      <c r="C7">
        <f>20*I3</f>
        <v>79.330000000000013</v>
      </c>
      <c r="D7">
        <f t="shared" si="0"/>
        <v>39.665000000000006</v>
      </c>
      <c r="F7">
        <v>2000</v>
      </c>
    </row>
    <row r="8" spans="1:9" x14ac:dyDescent="0.25">
      <c r="A8" t="s">
        <v>126</v>
      </c>
      <c r="B8" t="s">
        <v>122</v>
      </c>
      <c r="C8">
        <f>60*I3</f>
        <v>237.99</v>
      </c>
      <c r="D8">
        <f t="shared" si="0"/>
        <v>118.995</v>
      </c>
      <c r="F8">
        <v>6000</v>
      </c>
    </row>
    <row r="9" spans="1:9" x14ac:dyDescent="0.25">
      <c r="A9" t="s">
        <v>126</v>
      </c>
      <c r="B9" t="s">
        <v>132</v>
      </c>
      <c r="C9">
        <f>33*I3</f>
        <v>130.89450000000002</v>
      </c>
      <c r="D9">
        <f t="shared" si="0"/>
        <v>65.447250000000011</v>
      </c>
      <c r="F9">
        <v>3300</v>
      </c>
    </row>
    <row r="10" spans="1:9" x14ac:dyDescent="0.25">
      <c r="A10" t="s">
        <v>126</v>
      </c>
      <c r="B10" t="s">
        <v>127</v>
      </c>
      <c r="C10">
        <f>407*I3</f>
        <v>1614.3655000000001</v>
      </c>
      <c r="D10">
        <f t="shared" si="0"/>
        <v>807.18275000000006</v>
      </c>
      <c r="F10">
        <v>40700</v>
      </c>
    </row>
    <row r="11" spans="1:9" x14ac:dyDescent="0.25">
      <c r="A11" t="s">
        <v>123</v>
      </c>
      <c r="B11" t="s">
        <v>122</v>
      </c>
      <c r="C11">
        <f>33.5*I3</f>
        <v>132.87775000000002</v>
      </c>
      <c r="D11">
        <f t="shared" si="0"/>
        <v>66.43887500000001</v>
      </c>
      <c r="F11">
        <v>3350</v>
      </c>
    </row>
    <row r="12" spans="1:9" x14ac:dyDescent="0.25">
      <c r="A12" t="s">
        <v>123</v>
      </c>
      <c r="B12" t="s">
        <v>122</v>
      </c>
      <c r="C12">
        <f>17*I3</f>
        <v>67.430500000000009</v>
      </c>
      <c r="D12">
        <f t="shared" si="0"/>
        <v>33.715250000000005</v>
      </c>
      <c r="F12">
        <v>1700</v>
      </c>
    </row>
    <row r="13" spans="1:9" x14ac:dyDescent="0.25">
      <c r="A13" t="s">
        <v>116</v>
      </c>
      <c r="B13" t="s">
        <v>117</v>
      </c>
      <c r="C13">
        <f>29*I3</f>
        <v>115.02850000000001</v>
      </c>
      <c r="D13">
        <f t="shared" si="0"/>
        <v>57.514250000000004</v>
      </c>
      <c r="F13">
        <v>2900</v>
      </c>
    </row>
    <row r="14" spans="1:9" x14ac:dyDescent="0.25">
      <c r="A14" t="s">
        <v>49</v>
      </c>
      <c r="B14" t="s">
        <v>114</v>
      </c>
      <c r="C14">
        <f>82*I3</f>
        <v>325.25300000000004</v>
      </c>
      <c r="D14">
        <f t="shared" si="0"/>
        <v>162.62650000000002</v>
      </c>
      <c r="F14">
        <v>8200</v>
      </c>
    </row>
    <row r="15" spans="1:9" x14ac:dyDescent="0.25">
      <c r="A15" t="s">
        <v>49</v>
      </c>
      <c r="B15" t="s">
        <v>52</v>
      </c>
      <c r="C15" s="4">
        <v>1109.48</v>
      </c>
      <c r="D15">
        <f t="shared" si="0"/>
        <v>554.74</v>
      </c>
    </row>
    <row r="16" spans="1:9" x14ac:dyDescent="0.25">
      <c r="A16" t="s">
        <v>53</v>
      </c>
      <c r="B16" t="s">
        <v>111</v>
      </c>
      <c r="C16" s="4">
        <v>1283.6600000000001</v>
      </c>
      <c r="D16">
        <f t="shared" si="0"/>
        <v>641.83000000000004</v>
      </c>
    </row>
    <row r="17" spans="1:6" x14ac:dyDescent="0.25">
      <c r="A17" t="s">
        <v>53</v>
      </c>
      <c r="B17" t="s">
        <v>56</v>
      </c>
      <c r="C17" s="4">
        <v>215.1</v>
      </c>
      <c r="D17">
        <f t="shared" si="0"/>
        <v>107.55</v>
      </c>
    </row>
    <row r="18" spans="1:6" x14ac:dyDescent="0.25">
      <c r="A18" t="s">
        <v>53</v>
      </c>
      <c r="B18" t="s">
        <v>57</v>
      </c>
      <c r="C18" s="4">
        <v>566.49</v>
      </c>
      <c r="D18">
        <f t="shared" si="0"/>
        <v>283.245</v>
      </c>
    </row>
    <row r="19" spans="1:6" x14ac:dyDescent="0.25">
      <c r="A19" t="s">
        <v>53</v>
      </c>
      <c r="B19" t="s">
        <v>112</v>
      </c>
      <c r="C19">
        <f>45*I3</f>
        <v>178.49250000000001</v>
      </c>
      <c r="D19">
        <f t="shared" si="0"/>
        <v>89.246250000000003</v>
      </c>
      <c r="F19">
        <v>4500</v>
      </c>
    </row>
    <row r="20" spans="1:6" x14ac:dyDescent="0.25">
      <c r="A20" t="s">
        <v>59</v>
      </c>
      <c r="B20" t="s">
        <v>67</v>
      </c>
      <c r="C20" s="2">
        <v>158.66</v>
      </c>
      <c r="D20">
        <f t="shared" si="0"/>
        <v>79.33</v>
      </c>
      <c r="F20">
        <v>4000</v>
      </c>
    </row>
    <row r="21" spans="1:6" x14ac:dyDescent="0.25">
      <c r="A21" t="s">
        <v>59</v>
      </c>
      <c r="B21" t="s">
        <v>68</v>
      </c>
      <c r="C21" s="4">
        <v>1110.52</v>
      </c>
      <c r="D21">
        <f t="shared" si="0"/>
        <v>555.26</v>
      </c>
    </row>
    <row r="22" spans="1:6" x14ac:dyDescent="0.25">
      <c r="A22" t="s">
        <v>59</v>
      </c>
      <c r="B22" t="s">
        <v>68</v>
      </c>
      <c r="C22" s="4">
        <v>269.64999999999998</v>
      </c>
      <c r="D22">
        <f t="shared" si="0"/>
        <v>134.82499999999999</v>
      </c>
    </row>
    <row r="23" spans="1:6" x14ac:dyDescent="0.25">
      <c r="A23" t="s">
        <v>64</v>
      </c>
      <c r="B23" t="s">
        <v>71</v>
      </c>
      <c r="C23" s="4">
        <v>214.11</v>
      </c>
      <c r="D23">
        <f>C23/2</f>
        <v>107.05500000000001</v>
      </c>
    </row>
    <row r="24" spans="1:6" x14ac:dyDescent="0.25">
      <c r="A24" t="s">
        <v>64</v>
      </c>
      <c r="B24" t="s">
        <v>70</v>
      </c>
      <c r="C24" s="4">
        <v>870.7</v>
      </c>
      <c r="D24">
        <f t="shared" si="0"/>
        <v>435.35</v>
      </c>
    </row>
    <row r="25" spans="1:6" x14ac:dyDescent="0.25">
      <c r="A25" t="s">
        <v>73</v>
      </c>
      <c r="B25" t="s">
        <v>70</v>
      </c>
      <c r="C25" s="4">
        <v>79.290000000000006</v>
      </c>
      <c r="D25">
        <f t="shared" si="0"/>
        <v>39.645000000000003</v>
      </c>
    </row>
    <row r="26" spans="1:6" x14ac:dyDescent="0.25">
      <c r="A26" t="s">
        <v>73</v>
      </c>
      <c r="B26" t="s">
        <v>70</v>
      </c>
      <c r="C26" s="4">
        <v>118.8</v>
      </c>
      <c r="D26">
        <f t="shared" si="0"/>
        <v>59.4</v>
      </c>
    </row>
    <row r="27" spans="1:6" x14ac:dyDescent="0.25">
      <c r="A27" t="s">
        <v>75</v>
      </c>
      <c r="B27" t="s">
        <v>76</v>
      </c>
      <c r="C27" s="4">
        <v>272.64999999999998</v>
      </c>
      <c r="D27">
        <f t="shared" si="0"/>
        <v>136.32499999999999</v>
      </c>
    </row>
    <row r="28" spans="1:6" x14ac:dyDescent="0.25">
      <c r="A28" t="s">
        <v>75</v>
      </c>
      <c r="B28" t="s">
        <v>77</v>
      </c>
      <c r="C28" s="4">
        <v>514.97</v>
      </c>
      <c r="D28">
        <f t="shared" si="0"/>
        <v>257.48500000000001</v>
      </c>
    </row>
    <row r="29" spans="1:6" x14ac:dyDescent="0.25">
      <c r="A29" t="s">
        <v>79</v>
      </c>
      <c r="B29" t="s">
        <v>80</v>
      </c>
      <c r="C29">
        <v>118.8</v>
      </c>
      <c r="D29">
        <f t="shared" si="0"/>
        <v>59.4</v>
      </c>
    </row>
    <row r="30" spans="1:6" x14ac:dyDescent="0.25">
      <c r="A30" t="s">
        <v>79</v>
      </c>
      <c r="B30" t="s">
        <v>81</v>
      </c>
      <c r="C30" s="4">
        <v>1706.62</v>
      </c>
      <c r="D30">
        <f t="shared" si="0"/>
        <v>853.31</v>
      </c>
    </row>
    <row r="31" spans="1:6" x14ac:dyDescent="0.25">
      <c r="A31" t="s">
        <v>82</v>
      </c>
      <c r="B31" t="s">
        <v>83</v>
      </c>
      <c r="C31">
        <f>SUM(368*I3)</f>
        <v>1459.672</v>
      </c>
      <c r="D31">
        <f t="shared" si="0"/>
        <v>729.83600000000001</v>
      </c>
      <c r="F31">
        <v>36800</v>
      </c>
    </row>
    <row r="32" spans="1:6" x14ac:dyDescent="0.25">
      <c r="A32" t="s">
        <v>85</v>
      </c>
      <c r="B32" t="s">
        <v>86</v>
      </c>
      <c r="C32" s="4">
        <v>557.72</v>
      </c>
      <c r="D32">
        <f t="shared" si="0"/>
        <v>278.86</v>
      </c>
    </row>
    <row r="33" spans="1:6" x14ac:dyDescent="0.25">
      <c r="A33" t="s">
        <v>85</v>
      </c>
      <c r="B33" t="s">
        <v>89</v>
      </c>
      <c r="C33">
        <f>SUM(468*I3)</f>
        <v>1856.3220000000001</v>
      </c>
      <c r="D33">
        <f t="shared" si="0"/>
        <v>928.16100000000006</v>
      </c>
      <c r="F33">
        <v>46800</v>
      </c>
    </row>
    <row r="34" spans="1:6" x14ac:dyDescent="0.25">
      <c r="A34" t="s">
        <v>87</v>
      </c>
      <c r="B34" t="s">
        <v>88</v>
      </c>
      <c r="C34" s="4">
        <v>242.23</v>
      </c>
      <c r="D34">
        <f t="shared" si="0"/>
        <v>121.11499999999999</v>
      </c>
    </row>
    <row r="35" spans="1:6" x14ac:dyDescent="0.25">
      <c r="A35" t="s">
        <v>87</v>
      </c>
      <c r="B35" t="s">
        <v>90</v>
      </c>
      <c r="C35">
        <f>66*I3</f>
        <v>261.78900000000004</v>
      </c>
      <c r="D35">
        <f t="shared" si="0"/>
        <v>130.89450000000002</v>
      </c>
      <c r="F35">
        <v>6600</v>
      </c>
    </row>
    <row r="36" spans="1:6" x14ac:dyDescent="0.25">
      <c r="A36" t="s">
        <v>91</v>
      </c>
      <c r="B36" t="s">
        <v>96</v>
      </c>
      <c r="C36">
        <f>125.35*I3</f>
        <v>497.20077500000002</v>
      </c>
      <c r="D36">
        <f t="shared" si="0"/>
        <v>248.60038750000001</v>
      </c>
      <c r="F36">
        <v>12535</v>
      </c>
    </row>
    <row r="37" spans="1:6" x14ac:dyDescent="0.25">
      <c r="A37" t="s">
        <v>97</v>
      </c>
      <c r="B37" t="s">
        <v>99</v>
      </c>
      <c r="C37" s="4">
        <v>2141.8200000000002</v>
      </c>
      <c r="D37">
        <f t="shared" si="0"/>
        <v>1070.9100000000001</v>
      </c>
    </row>
    <row r="38" spans="1:6" x14ac:dyDescent="0.25">
      <c r="A38" t="s">
        <v>97</v>
      </c>
      <c r="B38" t="s">
        <v>100</v>
      </c>
      <c r="C38" s="4">
        <v>973.63</v>
      </c>
      <c r="D38">
        <f t="shared" si="0"/>
        <v>486.815</v>
      </c>
    </row>
    <row r="39" spans="1:6" x14ac:dyDescent="0.25">
      <c r="A39" t="s">
        <v>97</v>
      </c>
      <c r="B39" t="s">
        <v>101</v>
      </c>
      <c r="C39">
        <f>23.3*I3</f>
        <v>92.419450000000012</v>
      </c>
      <c r="D39">
        <f t="shared" si="0"/>
        <v>46.209725000000006</v>
      </c>
      <c r="F39">
        <v>2330</v>
      </c>
    </row>
    <row r="40" spans="1:6" x14ac:dyDescent="0.25">
      <c r="A40" t="s">
        <v>97</v>
      </c>
      <c r="B40" t="s">
        <v>101</v>
      </c>
      <c r="C40">
        <f>22*I3</f>
        <v>87.263000000000005</v>
      </c>
      <c r="D40">
        <f t="shared" si="0"/>
        <v>43.631500000000003</v>
      </c>
      <c r="F40">
        <v>2200</v>
      </c>
    </row>
    <row r="41" spans="1:6" x14ac:dyDescent="0.25">
      <c r="A41" t="s">
        <v>102</v>
      </c>
      <c r="B41" t="s">
        <v>103</v>
      </c>
      <c r="C41">
        <f>34*I3</f>
        <v>134.86100000000002</v>
      </c>
      <c r="D41">
        <f t="shared" si="0"/>
        <v>67.430500000000009</v>
      </c>
      <c r="F41">
        <v>3400</v>
      </c>
    </row>
    <row r="42" spans="1:6" x14ac:dyDescent="0.25">
      <c r="A42" t="s">
        <v>102</v>
      </c>
      <c r="B42" t="s">
        <v>103</v>
      </c>
      <c r="C42">
        <f>12*I3</f>
        <v>47.598000000000006</v>
      </c>
      <c r="D42">
        <f t="shared" si="0"/>
        <v>23.799000000000003</v>
      </c>
      <c r="F42">
        <v>1200</v>
      </c>
    </row>
    <row r="43" spans="1:6" x14ac:dyDescent="0.25">
      <c r="A43" t="s">
        <v>105</v>
      </c>
      <c r="B43" t="s">
        <v>106</v>
      </c>
      <c r="C43" s="4">
        <v>1302.1500000000001</v>
      </c>
      <c r="D43">
        <f t="shared" si="0"/>
        <v>651.07500000000005</v>
      </c>
    </row>
    <row r="45" spans="1:6" x14ac:dyDescent="0.25">
      <c r="C45">
        <f>SUM(C2:C43)</f>
        <v>27253.247475000007</v>
      </c>
      <c r="D45">
        <f>SUM(D2:D43)</f>
        <v>13626.623737500004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3" sqref="F13"/>
    </sheetView>
  </sheetViews>
  <sheetFormatPr defaultRowHeight="15" x14ac:dyDescent="0.25"/>
  <cols>
    <col min="1" max="1" width="15.140625" bestFit="1" customWidth="1"/>
    <col min="3" max="3" width="13.140625" bestFit="1" customWidth="1"/>
    <col min="4" max="4" width="14.28515625" bestFit="1" customWidth="1"/>
  </cols>
  <sheetData>
    <row r="1" spans="1:6" x14ac:dyDescent="0.25">
      <c r="B1" t="s">
        <v>7</v>
      </c>
      <c r="C1" t="s">
        <v>142</v>
      </c>
      <c r="D1" t="s">
        <v>141</v>
      </c>
    </row>
    <row r="2" spans="1:6" x14ac:dyDescent="0.25">
      <c r="A2" t="s">
        <v>134</v>
      </c>
      <c r="B2">
        <v>100000</v>
      </c>
      <c r="C2">
        <v>3891.63</v>
      </c>
      <c r="D2">
        <f>SUM(C2/2)</f>
        <v>1945.8150000000001</v>
      </c>
    </row>
    <row r="3" spans="1:6" x14ac:dyDescent="0.25">
      <c r="A3" t="s">
        <v>105</v>
      </c>
      <c r="B3">
        <v>100000</v>
      </c>
      <c r="C3">
        <v>3889.78</v>
      </c>
      <c r="D3">
        <f t="shared" ref="D3:D9" si="0">SUM(C3/2)</f>
        <v>1944.89</v>
      </c>
    </row>
    <row r="4" spans="1:6" x14ac:dyDescent="0.25">
      <c r="A4" t="s">
        <v>85</v>
      </c>
      <c r="B4">
        <v>200000</v>
      </c>
      <c r="C4">
        <v>7889.52</v>
      </c>
      <c r="D4">
        <f t="shared" si="0"/>
        <v>3944.76</v>
      </c>
    </row>
    <row r="5" spans="1:6" x14ac:dyDescent="0.25">
      <c r="A5" t="s">
        <v>82</v>
      </c>
      <c r="B5">
        <v>200000</v>
      </c>
      <c r="C5">
        <v>7868.02</v>
      </c>
      <c r="D5">
        <f t="shared" si="0"/>
        <v>3934.01</v>
      </c>
    </row>
    <row r="6" spans="1:6" x14ac:dyDescent="0.25">
      <c r="A6" t="s">
        <v>135</v>
      </c>
      <c r="B6">
        <v>100000</v>
      </c>
      <c r="C6">
        <v>3935.23</v>
      </c>
      <c r="D6">
        <f t="shared" si="0"/>
        <v>1967.615</v>
      </c>
    </row>
    <row r="7" spans="1:6" x14ac:dyDescent="0.25">
      <c r="A7" t="s">
        <v>135</v>
      </c>
      <c r="B7">
        <v>200000</v>
      </c>
      <c r="C7">
        <v>7870.46</v>
      </c>
      <c r="D7">
        <f t="shared" si="0"/>
        <v>3935.23</v>
      </c>
    </row>
    <row r="8" spans="1:6" x14ac:dyDescent="0.25">
      <c r="A8" t="s">
        <v>53</v>
      </c>
      <c r="B8">
        <v>200000</v>
      </c>
      <c r="C8">
        <v>7874.66</v>
      </c>
      <c r="D8">
        <f t="shared" si="0"/>
        <v>3937.33</v>
      </c>
    </row>
    <row r="9" spans="1:6" x14ac:dyDescent="0.25">
      <c r="A9" t="s">
        <v>129</v>
      </c>
      <c r="B9">
        <v>200000</v>
      </c>
      <c r="C9">
        <v>7897.8</v>
      </c>
      <c r="D9">
        <f t="shared" si="0"/>
        <v>3948.9</v>
      </c>
    </row>
    <row r="12" spans="1:6" x14ac:dyDescent="0.25">
      <c r="C12">
        <f>SUM(C2:C11)</f>
        <v>51117.100000000006</v>
      </c>
      <c r="D12">
        <f>SUM(D2:D11)</f>
        <v>25558.550000000003</v>
      </c>
      <c r="F1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ubytovani</vt:lpstr>
      <vt:lpstr>doprava, vstupy</vt:lpstr>
      <vt:lpstr>ostatni</vt:lpstr>
      <vt:lpstr>vybery</vt:lpstr>
    </vt:vector>
  </TitlesOfParts>
  <Company>Oriflame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Ondrášková, Hana</dc:creator>
  <cp:lastModifiedBy>Ondrášková, Hana</cp:lastModifiedBy>
  <dcterms:created xsi:type="dcterms:W3CDTF">2013-12-05T19:54:03Z</dcterms:created>
  <dcterms:modified xsi:type="dcterms:W3CDTF">2017-07-24T19:27:45Z</dcterms:modified>
</cp:coreProperties>
</file>